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<sst xmlns="http://schemas.openxmlformats.org/spreadsheetml/2006/main" count="98" uniqueCount="61">
  <si>
    <t>Вид на депото</t>
  </si>
  <si>
    <t>Община</t>
  </si>
  <si>
    <t>период от време (месеци)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</si>
  <si>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</si>
  <si>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</si>
  <si>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</si>
  <si>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</si>
  <si>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</si>
  <si>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</si>
  <si>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</si>
  <si>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</si>
  <si>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Рудозем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</si>
  <si>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</si>
  <si>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Количество депонирани неопасни отпадъци</t>
  </si>
  <si>
    <t xml:space="preserve">Остава да постъпят  по чл. 60 </t>
  </si>
  <si>
    <t xml:space="preserve">Остава да постъпят по чл. 64 </t>
  </si>
  <si>
    <t>Регионално депо за неопасни отпадъци на общините  Смолян, Баните и Чепеларе</t>
  </si>
  <si>
    <t>Смолян, Баните и Чепеларе</t>
  </si>
  <si>
    <t>2011 г.</t>
  </si>
  <si>
    <t>2012 г.</t>
  </si>
  <si>
    <t>2013 г.</t>
  </si>
  <si>
    <t>Смолян</t>
  </si>
  <si>
    <t>2014 г.</t>
  </si>
  <si>
    <t>Баните</t>
  </si>
  <si>
    <t>Чепеларе</t>
  </si>
  <si>
    <t>2015 г.</t>
  </si>
  <si>
    <t>2011г.-2013 г.</t>
  </si>
  <si>
    <t>Мадан, Златоград и Неделино</t>
  </si>
  <si>
    <t>2011г.-2012 г.</t>
  </si>
  <si>
    <t>Мадан</t>
  </si>
  <si>
    <t>Златоград</t>
  </si>
  <si>
    <t>Неделино</t>
  </si>
  <si>
    <t>Регионално депо за неопасни отпадъци на общините  Мадан, Златоград и Неделино</t>
  </si>
  <si>
    <t>Доспат, Девин, Борино и Сатовча</t>
  </si>
  <si>
    <t>Доспат</t>
  </si>
  <si>
    <t>Девин</t>
  </si>
  <si>
    <t>Борино</t>
  </si>
  <si>
    <t>Сатовча</t>
  </si>
  <si>
    <t>ОБЩО</t>
  </si>
  <si>
    <t>Регионално депо за неопасни отпадъци на общините  Доспат, Девин, Борино и Сатовча</t>
  </si>
  <si>
    <t>Депо за неопасни отпадъци на община Рудозем</t>
  </si>
  <si>
    <t>2014-2015г.</t>
  </si>
  <si>
    <t>2013 -2015г.</t>
  </si>
  <si>
    <t>м.01-м.12.2016 г.</t>
  </si>
  <si>
    <r>
      <t>447 574.85 лв.</t>
    </r>
    <r>
      <rPr>
        <sz val="10"/>
        <rFont val="Times New Roman"/>
        <family val="1"/>
      </rPr>
      <t xml:space="preserve"> /От тях , отпуснатите през четвъртото тримесечие на 2016г. са: На   12.10.2016г. 130 000 лв. по решение №35/27.07.2016г. на Община Смолян по проект „Реконструкция и модернизация на регионално депо за ТБО „Теклен дол” – гр. Смолян – проектиране и строителство на сепарираща и компостираща инсталация за битови отпадъци"/</t>
    </r>
  </si>
  <si>
    <r>
      <t>104 906,21 лв.</t>
    </r>
    <r>
      <rPr>
        <sz val="9"/>
        <rFont val="Times New Roman"/>
        <family val="1"/>
      </rPr>
      <t xml:space="preserve"> /От тях, отпуснатите през четвъртото тримесечие са:  На  14.11.2016г. са дадени на община Неделино 10 800 лв. за  плащане по договор за извършване на морфологичен анализ на състава и количеството на битовите отпадъци, образувани на територията на Община Неделино и  за изготвяне на общинска програма за управление на отпадъците на община Неделино за периода 2015-2020г.“; На 13.12.2016г. са отпуснати 59 055,01 лв. на община Мадан за плащане по проект „Въвеждане на разделно събиране на биоразградим (зелен) отпадък за региона на Общините – Златоград, Мадан и Неделно, включително доставка на специализирана машина за разстилане, компактиране и трамбоване на Регионално депо”;/</t>
    </r>
  </si>
  <si>
    <r>
      <t>77 212,28 лв.</t>
    </r>
    <r>
      <rPr>
        <sz val="9"/>
        <rFont val="Times New Roman"/>
        <family val="1"/>
      </rPr>
      <t xml:space="preserve"> /От тях, отпуснатите през четвъртото тримесечие са:  На 21.10.2016г.  12 432,10 лв. на община Рудозем за окончателно плащане  по договор за "Изграждане на 400 бр. площадки за разполагане на съдове за разделно събиране на отпадъците в община Рудозем/</t>
    </r>
  </si>
  <si>
    <t>01.01.2011 г. -31.12.2016 г.</t>
  </si>
  <si>
    <t>м.01-м.11.2016 г.</t>
  </si>
  <si>
    <t>м.01-м.09.2016 г.</t>
  </si>
  <si>
    <t>м.10-м.11.2016г.</t>
  </si>
  <si>
    <r>
      <t>97 968 лв.</t>
    </r>
    <r>
      <rPr>
        <sz val="9"/>
        <rFont val="Times New Roman"/>
        <family val="1"/>
      </rPr>
      <t xml:space="preserve"> /От тях, отпуснатите през четвъртото тримесечие са: На 13.12.2016г. 7 200 лв. за авансово плащане за изготвяне на Общинска програма за управление на отпадъците на община Девин за периода 2017-2020 г., включваща и изготвяне на морфологичен анализ на състава и количествата на битовите отпадъци образувани на територията на община Девин/</t>
    </r>
  </si>
  <si>
    <r>
      <t>Забележки</t>
    </r>
    <r>
      <rPr>
        <b/>
        <i/>
        <sz val="10"/>
        <rFont val="Arial"/>
        <family val="2"/>
      </rPr>
      <t xml:space="preserve">: </t>
    </r>
  </si>
  <si>
    <t>3. От 01.09.2016г. Община Девин временно депонира битовите си отпадъци на Регионално депо за неопасни отпадъци на общините Смолян, Чепеларе и Баните.</t>
  </si>
  <si>
    <t>2. В колона "Натрупана лихва за отчисленията по чл. 64" са посочени платените лихви по чл. 60 и чл. 64 от ЗУО.</t>
  </si>
  <si>
    <t>количество (тонове)</t>
  </si>
  <si>
    <t>4. Платената лихва от община Доспат в размер на 4 183,06 лв. е съгласно погасителния план и включва: част от лихва по АУПДВ №4/14.09.2016г. в размер на  357,26 лв.  и част от лихва за просрочие в размер на 3 825,80 лв.</t>
  </si>
  <si>
    <t>6. От НАП-Пловдив, офис-Смолян са събрани 70 285.61 лв. по АУПДВ, издадени срещу Община Неделино - № 1/30.01.2015г., №4/03.082015г. и №1/18.07.2016г. Сумата е преведена по сметка на МОСВ, но все още не е постъпила по сметката на РИОСВ-Смолян, поради което не е отразена и в таблицата.</t>
  </si>
  <si>
    <t>5. От НАП-Пловдив, офис-Смолян са събрани 108231,36 лв. по издадения АУПДВ № 5/03.08.2015г.  срещу община Девин - за задължения за 2014 г. и 2015 г. От тях 104 912,88 лв. са главница и 3 318,48 лв. лихва, като сумите са посочени в таблицата.</t>
  </si>
  <si>
    <t>№ по ред /година</t>
  </si>
  <si>
    <t>1. Данните са спрямо постъпилата информация до 10.01.2017г., тъй като съгласно Наредба № 7/2013г. собствениците на депата  предоставят в РИОСВ информация  за количествата депонирани отпадъци до последно число на тещущия месец за предходния.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</si>
</sst>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_-* #,##0.00\ [$€]_-;\-* #,##0.00\ [$€]_-;_-* &quot;-&quot;??\ [$€]_-;_-@_-"/>
    <numFmt numFmtId="174" formatCode="#,##0.000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"/>
      <family val="1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172" fontId="1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8" fontId="0" fillId="0" borderId="0" xfId="0" applyNumberFormat="1" applyAlignment="1">
      <alignment wrapText="1"/>
    </xf>
    <xf numFmtId="172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3" fillId="39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ublic\otchisleniq%20depa\&#1057;&#1087;&#1088;&#1072;&#1074;&#1082;&#1080;%20&#1052;&#1054;&#1057;&#1042;%20&#1080;%20&#1056;&#1048;&#1054;&#1057;&#1042;-&#1057;&#1084;&#1086;&#1083;&#1103;&#1085;\&#1057;&#1087;&#1088;&#1072;&#1074;&#1082;&#1080;%20&#1052;&#1054;&#1057;&#1042;\&#1057;&#1087;&#1088;&#1072;&#1074;&#1082;&#1080;%202016%20&#1075;\&#1058;&#1088;&#1077;&#1090;&#1086;%20&#1090;&#1088;&#1080;&#1084;&#1077;&#1089;&#1077;&#1095;&#1080;&#1077;%20&#1085;&#1072;%202016&#1075;\&#1079;&#1072;&#1087;&#1083;&#1072;&#1090;&#1077;&#1085;&#1080;%20&#1086;&#1090;&#1095;&#1080;&#1089;&#1083;&#1077;&#1085;&#1080;&#1103;%20&#1079;&#1072;%20&#1076;&#1077;&#1087;&#1086;&#1085;&#1080;&#1088;&#1072;&#1085;&#1077;%202014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олян"/>
    </sheetNames>
    <sheetDataSet>
      <sheetData sheetId="0">
        <row r="150">
          <cell r="E150">
            <v>1753.827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22">
      <selection activeCell="R4" sqref="R4"/>
    </sheetView>
  </sheetViews>
  <sheetFormatPr defaultColWidth="9.140625" defaultRowHeight="12.75"/>
  <cols>
    <col min="1" max="1" width="4.7109375" style="0" customWidth="1"/>
    <col min="3" max="3" width="10.8515625" style="0" customWidth="1"/>
    <col min="4" max="4" width="14.0039062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3.140625" style="0" customWidth="1"/>
    <col min="9" max="9" width="12.7109375" style="0" customWidth="1"/>
    <col min="10" max="10" width="12.57421875" style="0" customWidth="1"/>
    <col min="11" max="11" width="11.421875" style="0" customWidth="1"/>
    <col min="12" max="12" width="14.421875" style="0" customWidth="1"/>
    <col min="13" max="13" width="10.28125" style="0" customWidth="1"/>
    <col min="14" max="14" width="12.00390625" style="0" customWidth="1"/>
    <col min="15" max="15" width="22.421875" style="0" customWidth="1"/>
    <col min="16" max="16" width="10.140625" style="0" customWidth="1"/>
    <col min="17" max="17" width="12.57421875" style="0" customWidth="1"/>
    <col min="18" max="18" width="11.7109375" style="0" customWidth="1"/>
    <col min="19" max="19" width="10.140625" style="0" bestFit="1" customWidth="1"/>
  </cols>
  <sheetData>
    <row r="1" spans="1:15" ht="27" customHeight="1" thickBo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7" customHeight="1" thickBot="1">
      <c r="A2" s="53" t="s">
        <v>59</v>
      </c>
      <c r="B2" s="53" t="s">
        <v>0</v>
      </c>
      <c r="C2" s="53" t="s">
        <v>1</v>
      </c>
      <c r="D2" s="62" t="s">
        <v>13</v>
      </c>
      <c r="E2" s="62"/>
      <c r="F2" s="63" t="s">
        <v>3</v>
      </c>
      <c r="G2" s="51" t="s">
        <v>4</v>
      </c>
      <c r="H2" s="51" t="s">
        <v>5</v>
      </c>
      <c r="I2" s="52" t="s">
        <v>6</v>
      </c>
      <c r="J2" s="52" t="s">
        <v>7</v>
      </c>
      <c r="K2" s="61" t="s">
        <v>14</v>
      </c>
      <c r="L2" s="61" t="s">
        <v>15</v>
      </c>
      <c r="M2" s="53" t="s">
        <v>8</v>
      </c>
      <c r="N2" s="53" t="s">
        <v>9</v>
      </c>
      <c r="O2" s="60" t="s">
        <v>10</v>
      </c>
    </row>
    <row r="3" spans="1:15" ht="72" customHeight="1" thickBot="1">
      <c r="A3" s="53"/>
      <c r="B3" s="53"/>
      <c r="C3" s="53"/>
      <c r="D3" s="2" t="s">
        <v>2</v>
      </c>
      <c r="E3" s="3" t="s">
        <v>55</v>
      </c>
      <c r="F3" s="63"/>
      <c r="G3" s="51"/>
      <c r="H3" s="51"/>
      <c r="I3" s="52"/>
      <c r="J3" s="52"/>
      <c r="K3" s="61"/>
      <c r="L3" s="61"/>
      <c r="M3" s="53"/>
      <c r="N3" s="53"/>
      <c r="O3" s="60"/>
    </row>
    <row r="4" spans="1:17" ht="40.5" customHeight="1" thickBot="1">
      <c r="A4" s="56">
        <v>1</v>
      </c>
      <c r="B4" s="54" t="s">
        <v>16</v>
      </c>
      <c r="C4" s="22" t="s">
        <v>17</v>
      </c>
      <c r="D4" s="23" t="s">
        <v>26</v>
      </c>
      <c r="E4" s="24">
        <v>84002.71</v>
      </c>
      <c r="F4" s="24"/>
      <c r="G4" s="7">
        <v>262090.18</v>
      </c>
      <c r="H4" s="7">
        <v>672896.39</v>
      </c>
      <c r="I4" s="7">
        <v>262088.46</v>
      </c>
      <c r="J4" s="7">
        <v>672890.73</v>
      </c>
      <c r="K4" s="7">
        <f aca="true" t="shared" si="0" ref="K4:L7">I4-G4</f>
        <v>-1.7200000000011642</v>
      </c>
      <c r="L4" s="7">
        <f t="shared" si="0"/>
        <v>-5.660000000032596</v>
      </c>
      <c r="M4" s="8">
        <v>152.5</v>
      </c>
      <c r="N4" s="7"/>
      <c r="O4" s="7">
        <v>162240</v>
      </c>
      <c r="P4" s="46"/>
      <c r="Q4" s="1"/>
    </row>
    <row r="5" spans="1:17" ht="21" customHeight="1" thickBot="1">
      <c r="A5" s="57"/>
      <c r="B5" s="54"/>
      <c r="C5" s="11" t="s">
        <v>21</v>
      </c>
      <c r="D5" s="4" t="s">
        <v>41</v>
      </c>
      <c r="E5" s="5">
        <v>36313.1</v>
      </c>
      <c r="F5" s="6">
        <v>3.12</v>
      </c>
      <c r="G5" s="7">
        <v>113298.18</v>
      </c>
      <c r="H5" s="8">
        <v>905345.66</v>
      </c>
      <c r="I5" s="9">
        <v>113296.87</v>
      </c>
      <c r="J5" s="7">
        <v>905345.66</v>
      </c>
      <c r="K5" s="7">
        <f t="shared" si="0"/>
        <v>-1.3099999999976717</v>
      </c>
      <c r="L5" s="7">
        <f t="shared" si="0"/>
        <v>0</v>
      </c>
      <c r="M5" s="8">
        <v>0</v>
      </c>
      <c r="N5" s="10"/>
      <c r="O5" s="43">
        <v>1472350.2</v>
      </c>
      <c r="P5" s="47"/>
      <c r="Q5" s="1"/>
    </row>
    <row r="6" spans="1:17" ht="21" customHeight="1" thickBot="1">
      <c r="A6" s="57"/>
      <c r="B6" s="54"/>
      <c r="C6" s="11" t="s">
        <v>23</v>
      </c>
      <c r="D6" s="4" t="s">
        <v>41</v>
      </c>
      <c r="E6" s="5">
        <v>1227.42</v>
      </c>
      <c r="F6" s="6">
        <v>3.12</v>
      </c>
      <c r="G6" s="8">
        <v>749.29</v>
      </c>
      <c r="H6" s="8">
        <v>6361.18</v>
      </c>
      <c r="I6" s="9">
        <v>3829.55</v>
      </c>
      <c r="J6" s="7">
        <v>30817.74</v>
      </c>
      <c r="K6" s="8">
        <f t="shared" si="0"/>
        <v>3080.26</v>
      </c>
      <c r="L6" s="8">
        <f t="shared" si="0"/>
        <v>24456.56</v>
      </c>
      <c r="M6" s="8">
        <v>1796.83</v>
      </c>
      <c r="N6" s="10"/>
      <c r="O6" s="43"/>
      <c r="P6" s="47"/>
      <c r="Q6" s="1"/>
    </row>
    <row r="7" spans="1:17" ht="25.5" customHeight="1" thickBot="1">
      <c r="A7" s="57"/>
      <c r="B7" s="54"/>
      <c r="C7" s="11" t="s">
        <v>24</v>
      </c>
      <c r="D7" s="4" t="s">
        <v>41</v>
      </c>
      <c r="E7" s="5">
        <v>6728.61</v>
      </c>
      <c r="F7" s="6">
        <v>3.12</v>
      </c>
      <c r="G7" s="7">
        <v>20993.27</v>
      </c>
      <c r="H7" s="8">
        <v>168000.66</v>
      </c>
      <c r="I7" s="9">
        <v>20993.26</v>
      </c>
      <c r="J7" s="7">
        <v>168000.66</v>
      </c>
      <c r="K7" s="7">
        <f t="shared" si="0"/>
        <v>-0.010000000002037268</v>
      </c>
      <c r="L7" s="7">
        <f t="shared" si="0"/>
        <v>0</v>
      </c>
      <c r="M7" s="8">
        <v>0</v>
      </c>
      <c r="N7" s="10"/>
      <c r="O7" s="43"/>
      <c r="P7" s="47"/>
      <c r="Q7" s="1"/>
    </row>
    <row r="8" spans="1:17" ht="43.5" customHeight="1" thickBot="1">
      <c r="A8" s="57"/>
      <c r="B8" s="54"/>
      <c r="C8" s="11" t="s">
        <v>21</v>
      </c>
      <c r="D8" s="34" t="s">
        <v>48</v>
      </c>
      <c r="E8" s="28">
        <v>15094.69</v>
      </c>
      <c r="F8" s="6">
        <v>3.12</v>
      </c>
      <c r="G8" s="35">
        <v>47095.44</v>
      </c>
      <c r="H8" s="35">
        <v>543408.84</v>
      </c>
      <c r="I8" s="9">
        <f>E8*F8</f>
        <v>47095.4328</v>
      </c>
      <c r="J8" s="8">
        <f>E8*36</f>
        <v>543408.84</v>
      </c>
      <c r="K8" s="8">
        <f aca="true" t="shared" si="1" ref="K8:L11">I8-G8</f>
        <v>-0.0072000000000116415</v>
      </c>
      <c r="L8" s="8">
        <f t="shared" si="1"/>
        <v>0</v>
      </c>
      <c r="M8" s="32"/>
      <c r="N8" s="12"/>
      <c r="O8" s="43" t="s">
        <v>44</v>
      </c>
      <c r="P8" s="47"/>
      <c r="Q8" s="1"/>
    </row>
    <row r="9" spans="1:17" ht="48.75" customHeight="1" thickBot="1">
      <c r="A9" s="57"/>
      <c r="B9" s="54"/>
      <c r="C9" s="11" t="s">
        <v>23</v>
      </c>
      <c r="D9" s="34" t="s">
        <v>48</v>
      </c>
      <c r="E9" s="28">
        <v>611.19</v>
      </c>
      <c r="F9" s="6">
        <v>3.12</v>
      </c>
      <c r="G9" s="35">
        <v>0</v>
      </c>
      <c r="H9" s="35">
        <v>0</v>
      </c>
      <c r="I9" s="35">
        <f>E9*F9</f>
        <v>1906.9128000000003</v>
      </c>
      <c r="J9" s="8">
        <f>E9*36</f>
        <v>22002.840000000004</v>
      </c>
      <c r="K9" s="8">
        <f t="shared" si="1"/>
        <v>1906.9128000000003</v>
      </c>
      <c r="L9" s="8">
        <f t="shared" si="1"/>
        <v>22002.840000000004</v>
      </c>
      <c r="M9" s="35">
        <v>99.24</v>
      </c>
      <c r="N9" s="12"/>
      <c r="O9" s="44"/>
      <c r="P9" s="47"/>
      <c r="Q9" s="1"/>
    </row>
    <row r="10" spans="1:17" ht="39" customHeight="1" thickBot="1">
      <c r="A10" s="57"/>
      <c r="B10" s="54"/>
      <c r="C10" s="11" t="s">
        <v>24</v>
      </c>
      <c r="D10" s="34" t="s">
        <v>48</v>
      </c>
      <c r="E10" s="28">
        <v>3080.6</v>
      </c>
      <c r="F10" s="6">
        <v>3.12</v>
      </c>
      <c r="G10" s="35">
        <v>2656.05</v>
      </c>
      <c r="H10" s="35">
        <v>30646.8</v>
      </c>
      <c r="I10" s="35">
        <f>E10*F10</f>
        <v>9611.472</v>
      </c>
      <c r="J10" s="8">
        <f>E10*36</f>
        <v>110901.59999999999</v>
      </c>
      <c r="K10" s="8">
        <f t="shared" si="1"/>
        <v>6955.422</v>
      </c>
      <c r="L10" s="8">
        <f t="shared" si="1"/>
        <v>80254.79999999999</v>
      </c>
      <c r="M10" s="32"/>
      <c r="N10" s="12"/>
      <c r="O10" s="44"/>
      <c r="P10" s="48"/>
      <c r="Q10" s="1"/>
    </row>
    <row r="11" spans="1:17" ht="33.75" customHeight="1" thickBot="1">
      <c r="A11" s="58"/>
      <c r="B11" s="55"/>
      <c r="C11" s="21" t="s">
        <v>35</v>
      </c>
      <c r="D11" s="34" t="s">
        <v>50</v>
      </c>
      <c r="E11" s="28">
        <v>591.45</v>
      </c>
      <c r="F11" s="6">
        <v>3.12</v>
      </c>
      <c r="G11" s="35">
        <v>0</v>
      </c>
      <c r="H11" s="35">
        <v>0</v>
      </c>
      <c r="I11" s="35">
        <f>E11*F11</f>
        <v>1845.3240000000003</v>
      </c>
      <c r="J11" s="8">
        <f>E11*36</f>
        <v>21292.2</v>
      </c>
      <c r="K11" s="8">
        <f t="shared" si="1"/>
        <v>1845.3240000000003</v>
      </c>
      <c r="L11" s="8">
        <f t="shared" si="1"/>
        <v>21292.2</v>
      </c>
      <c r="M11" s="32"/>
      <c r="N11" s="12"/>
      <c r="O11" s="33"/>
      <c r="P11" s="36"/>
      <c r="Q11" s="1"/>
    </row>
    <row r="12" spans="1:17" ht="46.5" customHeight="1" thickBot="1">
      <c r="A12" s="18"/>
      <c r="B12" s="13" t="s">
        <v>38</v>
      </c>
      <c r="C12" s="14" t="s">
        <v>17</v>
      </c>
      <c r="D12" s="19" t="s">
        <v>47</v>
      </c>
      <c r="E12" s="15">
        <f>SUM(E4:E11)</f>
        <v>147649.77000000002</v>
      </c>
      <c r="F12" s="15"/>
      <c r="G12" s="15">
        <f aca="true" t="shared" si="2" ref="G12:N12">SUM(G4:G11)</f>
        <v>446882.41</v>
      </c>
      <c r="H12" s="15">
        <f t="shared" si="2"/>
        <v>2326659.53</v>
      </c>
      <c r="I12" s="15">
        <f t="shared" si="2"/>
        <v>460667.2816</v>
      </c>
      <c r="J12" s="15">
        <f t="shared" si="2"/>
        <v>2474660.27</v>
      </c>
      <c r="K12" s="15">
        <f t="shared" si="2"/>
        <v>13784.871599999999</v>
      </c>
      <c r="L12" s="15">
        <f t="shared" si="2"/>
        <v>148000.73999999996</v>
      </c>
      <c r="M12" s="15">
        <f t="shared" si="2"/>
        <v>2048.5699999999997</v>
      </c>
      <c r="N12" s="15">
        <f t="shared" si="2"/>
        <v>0</v>
      </c>
      <c r="O12" s="15">
        <f>O4+O5+447574.85</f>
        <v>2082165.0499999998</v>
      </c>
      <c r="Q12" s="1"/>
    </row>
    <row r="13" spans="1:19" ht="60.75" customHeight="1" thickBot="1">
      <c r="A13" s="67">
        <v>2</v>
      </c>
      <c r="B13" s="68" t="s">
        <v>32</v>
      </c>
      <c r="C13" s="25" t="s">
        <v>27</v>
      </c>
      <c r="D13" s="23" t="s">
        <v>28</v>
      </c>
      <c r="E13" s="5">
        <v>14251.66</v>
      </c>
      <c r="F13" s="9"/>
      <c r="G13" s="9">
        <v>0</v>
      </c>
      <c r="H13" s="9">
        <v>84507.49</v>
      </c>
      <c r="I13" s="9">
        <v>0</v>
      </c>
      <c r="J13" s="9">
        <v>84507.49</v>
      </c>
      <c r="K13" s="9">
        <f aca="true" t="shared" si="3" ref="K13:L19">I13-G13</f>
        <v>0</v>
      </c>
      <c r="L13" s="9">
        <f t="shared" si="3"/>
        <v>0</v>
      </c>
      <c r="M13" s="9">
        <v>0</v>
      </c>
      <c r="N13" s="9"/>
      <c r="O13" s="9">
        <v>0</v>
      </c>
      <c r="P13" s="46"/>
      <c r="Q13" s="1"/>
      <c r="R13" s="1"/>
      <c r="S13" s="1"/>
    </row>
    <row r="14" spans="1:19" ht="17.25" customHeight="1" thickBot="1">
      <c r="A14" s="67"/>
      <c r="B14" s="69"/>
      <c r="C14" s="16" t="s">
        <v>29</v>
      </c>
      <c r="D14" s="4" t="s">
        <v>42</v>
      </c>
      <c r="E14" s="5">
        <v>7700.04</v>
      </c>
      <c r="F14" s="6"/>
      <c r="G14" s="7">
        <v>15674.64</v>
      </c>
      <c r="H14" s="8">
        <v>165231.35</v>
      </c>
      <c r="I14" s="9">
        <v>15673.8</v>
      </c>
      <c r="J14" s="9">
        <v>165411.33</v>
      </c>
      <c r="K14" s="9">
        <f t="shared" si="3"/>
        <v>-0.8400000000001455</v>
      </c>
      <c r="L14" s="9">
        <f t="shared" si="3"/>
        <v>179.97999999998137</v>
      </c>
      <c r="M14" s="7">
        <v>0</v>
      </c>
      <c r="N14" s="10"/>
      <c r="O14" s="43">
        <f>60000+229456.8</f>
        <v>289456.8</v>
      </c>
      <c r="P14" s="47"/>
      <c r="Q14" s="1"/>
      <c r="R14" s="1"/>
      <c r="S14" s="1"/>
    </row>
    <row r="15" spans="1:19" ht="23.25" customHeight="1" thickBot="1">
      <c r="A15" s="67"/>
      <c r="B15" s="69"/>
      <c r="C15" s="16" t="s">
        <v>30</v>
      </c>
      <c r="D15" s="4" t="s">
        <v>42</v>
      </c>
      <c r="E15" s="5">
        <v>7461.58</v>
      </c>
      <c r="F15" s="6"/>
      <c r="G15" s="7">
        <v>14315.41</v>
      </c>
      <c r="H15" s="8">
        <v>160334.16</v>
      </c>
      <c r="I15" s="9">
        <v>14316.54</v>
      </c>
      <c r="J15" s="9">
        <v>159763.28</v>
      </c>
      <c r="K15" s="9">
        <f t="shared" si="3"/>
        <v>1.1300000000010186</v>
      </c>
      <c r="L15" s="9">
        <f t="shared" si="3"/>
        <v>-570.8800000000047</v>
      </c>
      <c r="M15" s="7">
        <v>0</v>
      </c>
      <c r="N15" s="10"/>
      <c r="O15" s="44"/>
      <c r="P15" s="47"/>
      <c r="Q15" s="1"/>
      <c r="R15" s="1"/>
      <c r="S15" s="1"/>
    </row>
    <row r="16" spans="1:19" ht="17.25" customHeight="1" thickBot="1">
      <c r="A16" s="67"/>
      <c r="B16" s="69"/>
      <c r="C16" s="16" t="s">
        <v>31</v>
      </c>
      <c r="D16" s="4" t="s">
        <v>42</v>
      </c>
      <c r="E16" s="5">
        <v>3078.94</v>
      </c>
      <c r="F16" s="6"/>
      <c r="G16" s="7">
        <v>0</v>
      </c>
      <c r="H16" s="8">
        <v>21602.22</v>
      </c>
      <c r="I16" s="9">
        <v>5865.93</v>
      </c>
      <c r="J16" s="9">
        <v>65734.22</v>
      </c>
      <c r="K16" s="9">
        <f t="shared" si="3"/>
        <v>5865.93</v>
      </c>
      <c r="L16" s="9">
        <f t="shared" si="3"/>
        <v>44132</v>
      </c>
      <c r="M16" s="8">
        <v>3090.17</v>
      </c>
      <c r="N16" s="10"/>
      <c r="O16" s="45"/>
      <c r="P16" s="47"/>
      <c r="Q16" s="1"/>
      <c r="R16" s="1"/>
      <c r="S16" s="1"/>
    </row>
    <row r="17" spans="1:19" ht="32.25" customHeight="1" thickBot="1">
      <c r="A17" s="67"/>
      <c r="B17" s="69"/>
      <c r="C17" s="16" t="s">
        <v>29</v>
      </c>
      <c r="D17" s="4" t="s">
        <v>43</v>
      </c>
      <c r="E17" s="28">
        <v>2704.16</v>
      </c>
      <c r="F17" s="6">
        <v>6.29</v>
      </c>
      <c r="G17" s="8">
        <v>15889.7</v>
      </c>
      <c r="H17" s="8">
        <v>90942.48</v>
      </c>
      <c r="I17" s="9">
        <f>E17*F17</f>
        <v>17009.1664</v>
      </c>
      <c r="J17" s="9">
        <f>E17*36</f>
        <v>97349.76</v>
      </c>
      <c r="K17" s="9">
        <f t="shared" si="3"/>
        <v>1119.4663999999975</v>
      </c>
      <c r="L17" s="9">
        <f t="shared" si="3"/>
        <v>6407.279999999999</v>
      </c>
      <c r="M17" s="31"/>
      <c r="N17" s="12"/>
      <c r="O17" s="43" t="s">
        <v>45</v>
      </c>
      <c r="P17" s="47"/>
      <c r="Q17" s="1"/>
      <c r="R17" s="1"/>
      <c r="S17" s="1"/>
    </row>
    <row r="18" spans="1:19" ht="35.25" customHeight="1" thickBot="1">
      <c r="A18" s="67"/>
      <c r="B18" s="69"/>
      <c r="C18" s="16" t="s">
        <v>30</v>
      </c>
      <c r="D18" s="4" t="s">
        <v>43</v>
      </c>
      <c r="E18" s="28">
        <v>2071.72</v>
      </c>
      <c r="F18" s="6">
        <v>6.29</v>
      </c>
      <c r="G18" s="8">
        <v>9752.98</v>
      </c>
      <c r="H18" s="8">
        <v>55818.8</v>
      </c>
      <c r="I18" s="9">
        <f>E18*F18</f>
        <v>13031.118799999998</v>
      </c>
      <c r="J18" s="9">
        <f>E18*36</f>
        <v>74581.92</v>
      </c>
      <c r="K18" s="9">
        <f t="shared" si="3"/>
        <v>3278.138799999999</v>
      </c>
      <c r="L18" s="9">
        <f t="shared" si="3"/>
        <v>18763.119999999995</v>
      </c>
      <c r="M18" s="31"/>
      <c r="N18" s="12"/>
      <c r="O18" s="44"/>
      <c r="P18" s="47"/>
      <c r="Q18" s="1"/>
      <c r="R18" s="1"/>
      <c r="S18" s="1"/>
    </row>
    <row r="19" spans="1:19" ht="41.25" customHeight="1" thickBot="1">
      <c r="A19" s="67"/>
      <c r="B19" s="70"/>
      <c r="C19" s="16" t="s">
        <v>31</v>
      </c>
      <c r="D19" s="4" t="s">
        <v>43</v>
      </c>
      <c r="E19" s="28">
        <v>996.18</v>
      </c>
      <c r="F19" s="6">
        <v>6.29</v>
      </c>
      <c r="G19" s="8">
        <v>3191.79</v>
      </c>
      <c r="H19" s="8">
        <v>18267.84</v>
      </c>
      <c r="I19" s="9">
        <f>E19*F19</f>
        <v>6265.9722</v>
      </c>
      <c r="J19" s="9">
        <f>E19*36</f>
        <v>35862.479999999996</v>
      </c>
      <c r="K19" s="9">
        <f t="shared" si="3"/>
        <v>3074.1822</v>
      </c>
      <c r="L19" s="9">
        <f t="shared" si="3"/>
        <v>17594.639999999996</v>
      </c>
      <c r="M19" s="8">
        <v>169.53</v>
      </c>
      <c r="N19" s="12"/>
      <c r="O19" s="44"/>
      <c r="P19" s="48"/>
      <c r="Q19" s="1"/>
      <c r="R19" s="1"/>
      <c r="S19" s="1"/>
    </row>
    <row r="20" spans="1:19" ht="54.75" customHeight="1" thickBot="1">
      <c r="A20" s="18"/>
      <c r="B20" s="13" t="s">
        <v>38</v>
      </c>
      <c r="C20" s="17" t="s">
        <v>27</v>
      </c>
      <c r="D20" s="19" t="s">
        <v>47</v>
      </c>
      <c r="E20" s="15">
        <f>SUM(E13:E19)</f>
        <v>38264.28</v>
      </c>
      <c r="F20" s="15"/>
      <c r="G20" s="15">
        <f>SUM(G13:G19)</f>
        <v>58824.52</v>
      </c>
      <c r="H20" s="15">
        <f aca="true" t="shared" si="4" ref="H20:N20">SUM(H13:H19)</f>
        <v>596704.34</v>
      </c>
      <c r="I20" s="15">
        <f t="shared" si="4"/>
        <v>72162.5274</v>
      </c>
      <c r="J20" s="15">
        <f t="shared" si="4"/>
        <v>683210.48</v>
      </c>
      <c r="K20" s="15">
        <f t="shared" si="4"/>
        <v>13338.007399999999</v>
      </c>
      <c r="L20" s="15">
        <f>SUM(L13:L19)</f>
        <v>86506.13999999997</v>
      </c>
      <c r="M20" s="15">
        <f t="shared" si="4"/>
        <v>3259.7000000000003</v>
      </c>
      <c r="N20" s="15">
        <f t="shared" si="4"/>
        <v>0</v>
      </c>
      <c r="O20" s="15">
        <f>SUM(O13+O14+104906.21)</f>
        <v>394363.01</v>
      </c>
      <c r="P20" s="1"/>
      <c r="Q20" s="1"/>
      <c r="R20" s="1"/>
      <c r="S20" s="1"/>
    </row>
    <row r="21" spans="1:17" ht="57.75" customHeight="1" thickBot="1">
      <c r="A21" s="72">
        <v>3</v>
      </c>
      <c r="B21" s="59" t="s">
        <v>39</v>
      </c>
      <c r="C21" s="21" t="s">
        <v>33</v>
      </c>
      <c r="D21" s="23" t="s">
        <v>26</v>
      </c>
      <c r="E21" s="5">
        <v>21977.36</v>
      </c>
      <c r="F21" s="26"/>
      <c r="G21" s="7">
        <v>112444.75</v>
      </c>
      <c r="H21" s="7">
        <v>200251.2</v>
      </c>
      <c r="I21" s="7">
        <v>112444.63</v>
      </c>
      <c r="J21" s="7">
        <v>200247.6</v>
      </c>
      <c r="K21" s="7">
        <f aca="true" t="shared" si="5" ref="K21:L25">I21-G21</f>
        <v>-0.11999999999534339</v>
      </c>
      <c r="L21" s="7">
        <f t="shared" si="5"/>
        <v>-3.6000000000058208</v>
      </c>
      <c r="M21" s="7">
        <v>0</v>
      </c>
      <c r="N21" s="7"/>
      <c r="O21" s="26">
        <v>0</v>
      </c>
      <c r="P21" s="46"/>
      <c r="Q21" s="1"/>
    </row>
    <row r="22" spans="1:17" ht="21.75" customHeight="1" thickBot="1">
      <c r="A22" s="72"/>
      <c r="B22" s="59"/>
      <c r="C22" s="16" t="s">
        <v>34</v>
      </c>
      <c r="D22" s="4" t="s">
        <v>41</v>
      </c>
      <c r="E22" s="5">
        <v>3929.41</v>
      </c>
      <c r="F22" s="6">
        <v>6.43</v>
      </c>
      <c r="G22" s="7">
        <v>15486.46</v>
      </c>
      <c r="H22" s="8">
        <v>55129.2</v>
      </c>
      <c r="I22" s="9">
        <v>25266.11</v>
      </c>
      <c r="J22" s="7">
        <v>98390.26</v>
      </c>
      <c r="K22" s="7">
        <f t="shared" si="5"/>
        <v>9779.650000000001</v>
      </c>
      <c r="L22" s="7">
        <f t="shared" si="5"/>
        <v>43261.06</v>
      </c>
      <c r="M22" s="8">
        <v>4125.74</v>
      </c>
      <c r="N22" s="10">
        <f>357.26+3825.8</f>
        <v>4183.06</v>
      </c>
      <c r="O22" s="44">
        <v>14232</v>
      </c>
      <c r="P22" s="49"/>
      <c r="Q22" s="1"/>
    </row>
    <row r="23" spans="1:17" ht="21.75" customHeight="1" thickBot="1">
      <c r="A23" s="72"/>
      <c r="B23" s="59"/>
      <c r="C23" s="16" t="s">
        <v>35</v>
      </c>
      <c r="D23" s="4" t="s">
        <v>41</v>
      </c>
      <c r="E23" s="5">
        <v>5305.62</v>
      </c>
      <c r="F23" s="6">
        <v>6.43</v>
      </c>
      <c r="G23" s="8">
        <v>32736.54</v>
      </c>
      <c r="H23" s="8">
        <v>126234.88</v>
      </c>
      <c r="I23" s="9">
        <v>34115.14</v>
      </c>
      <c r="J23" s="7">
        <v>132238.08</v>
      </c>
      <c r="K23" s="9">
        <f t="shared" si="5"/>
        <v>1378.5999999999985</v>
      </c>
      <c r="L23" s="9">
        <f t="shared" si="5"/>
        <v>6003.1999999999825</v>
      </c>
      <c r="M23" s="8">
        <v>10311.27</v>
      </c>
      <c r="N23" s="10">
        <v>3318.48</v>
      </c>
      <c r="O23" s="44"/>
      <c r="P23" s="49"/>
      <c r="Q23" s="1"/>
    </row>
    <row r="24" spans="1:17" ht="21.75" customHeight="1" thickBot="1">
      <c r="A24" s="72"/>
      <c r="B24" s="59"/>
      <c r="C24" s="16" t="s">
        <v>36</v>
      </c>
      <c r="D24" s="4" t="s">
        <v>41</v>
      </c>
      <c r="E24" s="5">
        <v>1469.82</v>
      </c>
      <c r="F24" s="6">
        <v>6.43</v>
      </c>
      <c r="G24" s="7">
        <v>4164.83</v>
      </c>
      <c r="H24" s="7">
        <v>15643.52</v>
      </c>
      <c r="I24" s="9">
        <v>9450.94</v>
      </c>
      <c r="J24" s="7">
        <v>36649.68</v>
      </c>
      <c r="K24" s="9">
        <f t="shared" si="5"/>
        <v>5286.110000000001</v>
      </c>
      <c r="L24" s="9">
        <f t="shared" si="5"/>
        <v>21006.16</v>
      </c>
      <c r="M24" s="8">
        <v>0</v>
      </c>
      <c r="N24" s="10"/>
      <c r="O24" s="44"/>
      <c r="P24" s="49"/>
      <c r="Q24" s="1"/>
    </row>
    <row r="25" spans="1:17" ht="21.75" customHeight="1" thickBot="1">
      <c r="A25" s="72"/>
      <c r="B25" s="59"/>
      <c r="C25" s="16" t="s">
        <v>37</v>
      </c>
      <c r="D25" s="4" t="s">
        <v>41</v>
      </c>
      <c r="E25" s="5">
        <v>3486.04</v>
      </c>
      <c r="F25" s="6">
        <v>6.43</v>
      </c>
      <c r="G25" s="7">
        <v>13982.18</v>
      </c>
      <c r="H25" s="7">
        <v>50633.04</v>
      </c>
      <c r="I25" s="9">
        <v>22415.24</v>
      </c>
      <c r="J25" s="7">
        <v>87355.6</v>
      </c>
      <c r="K25" s="9">
        <f t="shared" si="5"/>
        <v>8433.060000000001</v>
      </c>
      <c r="L25" s="9">
        <f t="shared" si="5"/>
        <v>36722.560000000005</v>
      </c>
      <c r="M25" s="8">
        <v>0</v>
      </c>
      <c r="N25" s="10"/>
      <c r="O25" s="44"/>
      <c r="P25" s="49"/>
      <c r="Q25" s="1"/>
    </row>
    <row r="26" spans="1:17" ht="26.25" customHeight="1" thickBot="1">
      <c r="A26" s="72"/>
      <c r="B26" s="59"/>
      <c r="C26" s="16" t="s">
        <v>34</v>
      </c>
      <c r="D26" s="4" t="s">
        <v>43</v>
      </c>
      <c r="E26" s="28">
        <v>1294.17</v>
      </c>
      <c r="F26" s="6">
        <v>6.43</v>
      </c>
      <c r="G26" s="8">
        <v>0</v>
      </c>
      <c r="H26" s="8">
        <v>3200</v>
      </c>
      <c r="I26" s="9">
        <f>E26*F26</f>
        <v>8321.5131</v>
      </c>
      <c r="J26" s="7">
        <f>E26*36</f>
        <v>46590.12</v>
      </c>
      <c r="K26" s="9">
        <f aca="true" t="shared" si="6" ref="K26:L29">I26-G26</f>
        <v>8321.5131</v>
      </c>
      <c r="L26" s="9">
        <f t="shared" si="6"/>
        <v>43390.12</v>
      </c>
      <c r="M26" s="8">
        <v>161.42</v>
      </c>
      <c r="N26" s="12"/>
      <c r="O26" s="43" t="s">
        <v>51</v>
      </c>
      <c r="P26" s="49"/>
      <c r="Q26" s="1"/>
    </row>
    <row r="27" spans="1:17" ht="29.25" customHeight="1" thickBot="1">
      <c r="A27" s="72"/>
      <c r="B27" s="59"/>
      <c r="C27" s="16" t="s">
        <v>35</v>
      </c>
      <c r="D27" s="34" t="s">
        <v>49</v>
      </c>
      <c r="E27" s="28">
        <v>1800.16</v>
      </c>
      <c r="F27" s="37">
        <v>6.43</v>
      </c>
      <c r="G27" s="8">
        <v>3648.77</v>
      </c>
      <c r="H27" s="8">
        <v>20428.56</v>
      </c>
      <c r="I27" s="9">
        <f>E27*F27</f>
        <v>11575.0288</v>
      </c>
      <c r="J27" s="7">
        <f>E27*36</f>
        <v>64805.76</v>
      </c>
      <c r="K27" s="9">
        <f t="shared" si="6"/>
        <v>7926.2588</v>
      </c>
      <c r="L27" s="9">
        <f t="shared" si="6"/>
        <v>44377.2</v>
      </c>
      <c r="M27" s="31"/>
      <c r="N27" s="12"/>
      <c r="O27" s="44"/>
      <c r="P27" s="49"/>
      <c r="Q27" s="1"/>
    </row>
    <row r="28" spans="1:17" ht="26.25" customHeight="1" thickBot="1">
      <c r="A28" s="72"/>
      <c r="B28" s="59"/>
      <c r="C28" s="16" t="s">
        <v>36</v>
      </c>
      <c r="D28" s="4" t="s">
        <v>43</v>
      </c>
      <c r="E28" s="28">
        <v>733.93</v>
      </c>
      <c r="F28" s="6">
        <v>6.43</v>
      </c>
      <c r="G28" s="8">
        <v>0</v>
      </c>
      <c r="H28" s="8">
        <v>0</v>
      </c>
      <c r="I28" s="9">
        <f>E28*F28</f>
        <v>4719.1699</v>
      </c>
      <c r="J28" s="7">
        <f>E28*36</f>
        <v>26421.48</v>
      </c>
      <c r="K28" s="9">
        <f t="shared" si="6"/>
        <v>4719.1699</v>
      </c>
      <c r="L28" s="9">
        <f t="shared" si="6"/>
        <v>26421.48</v>
      </c>
      <c r="M28" s="31"/>
      <c r="N28" s="12"/>
      <c r="O28" s="44"/>
      <c r="P28" s="49"/>
      <c r="Q28" s="1"/>
    </row>
    <row r="29" spans="1:17" ht="24" customHeight="1" thickBot="1">
      <c r="A29" s="72"/>
      <c r="B29" s="59"/>
      <c r="C29" s="16" t="s">
        <v>37</v>
      </c>
      <c r="D29" s="4" t="s">
        <v>43</v>
      </c>
      <c r="E29" s="28">
        <v>2241.38</v>
      </c>
      <c r="F29" s="6">
        <v>6.43</v>
      </c>
      <c r="G29" s="8">
        <v>1493.82</v>
      </c>
      <c r="H29" s="8">
        <v>8363.52</v>
      </c>
      <c r="I29" s="9">
        <f>E29*F29</f>
        <v>14412.0734</v>
      </c>
      <c r="J29" s="7">
        <f>E29*36</f>
        <v>80689.68000000001</v>
      </c>
      <c r="K29" s="9">
        <f t="shared" si="6"/>
        <v>12918.2534</v>
      </c>
      <c r="L29" s="9">
        <f t="shared" si="6"/>
        <v>72326.16</v>
      </c>
      <c r="M29" s="31"/>
      <c r="N29" s="12"/>
      <c r="O29" s="44"/>
      <c r="P29" s="50"/>
      <c r="Q29" s="1"/>
    </row>
    <row r="30" spans="1:17" ht="51.75" customHeight="1" thickBot="1">
      <c r="A30" s="18"/>
      <c r="B30" s="13" t="s">
        <v>38</v>
      </c>
      <c r="C30" s="27" t="s">
        <v>33</v>
      </c>
      <c r="D30" s="19" t="s">
        <v>47</v>
      </c>
      <c r="E30" s="15">
        <f>SUM(E21:E29)</f>
        <v>42237.89</v>
      </c>
      <c r="F30" s="15"/>
      <c r="G30" s="15">
        <f aca="true" t="shared" si="7" ref="G30:N30">SUM(G21:G29)</f>
        <v>183957.34999999998</v>
      </c>
      <c r="H30" s="15">
        <f t="shared" si="7"/>
        <v>479883.92000000004</v>
      </c>
      <c r="I30" s="15">
        <f t="shared" si="7"/>
        <v>242719.8452</v>
      </c>
      <c r="J30" s="15">
        <f t="shared" si="7"/>
        <v>773388.26</v>
      </c>
      <c r="K30" s="15">
        <f t="shared" si="7"/>
        <v>58762.49520000001</v>
      </c>
      <c r="L30" s="15">
        <f t="shared" si="7"/>
        <v>293504.33999999997</v>
      </c>
      <c r="M30" s="15">
        <f t="shared" si="7"/>
        <v>14598.43</v>
      </c>
      <c r="N30" s="15">
        <f t="shared" si="7"/>
        <v>7501.540000000001</v>
      </c>
      <c r="O30" s="15">
        <f>O21+O22+97968</f>
        <v>112200</v>
      </c>
      <c r="P30" s="1"/>
      <c r="Q30" s="1"/>
    </row>
    <row r="31" spans="1:17" ht="21.75" customHeight="1" thickBot="1">
      <c r="A31" s="66">
        <v>4</v>
      </c>
      <c r="B31" s="71" t="s">
        <v>40</v>
      </c>
      <c r="C31" s="65" t="s">
        <v>11</v>
      </c>
      <c r="D31" s="4" t="s">
        <v>18</v>
      </c>
      <c r="E31" s="5">
        <v>1913.505</v>
      </c>
      <c r="F31" s="6">
        <v>5.377</v>
      </c>
      <c r="G31" s="7">
        <v>10288.92</v>
      </c>
      <c r="H31" s="8">
        <v>5748</v>
      </c>
      <c r="I31" s="8">
        <f aca="true" t="shared" si="8" ref="I31:I36">E31*F31</f>
        <v>10288.916385</v>
      </c>
      <c r="J31" s="8">
        <f>E31*3</f>
        <v>5740.515</v>
      </c>
      <c r="K31" s="9">
        <f aca="true" t="shared" si="9" ref="K31:L36">I31-G31</f>
        <v>-0.003614999999626889</v>
      </c>
      <c r="L31" s="9">
        <f t="shared" si="9"/>
        <v>-7.484999999999673</v>
      </c>
      <c r="M31" s="12"/>
      <c r="N31" s="12"/>
      <c r="O31" s="12"/>
      <c r="Q31" s="1"/>
    </row>
    <row r="32" spans="1:17" ht="18.75" customHeight="1" thickBot="1">
      <c r="A32" s="66"/>
      <c r="B32" s="71"/>
      <c r="C32" s="65"/>
      <c r="D32" s="4" t="s">
        <v>19</v>
      </c>
      <c r="E32" s="5">
        <v>1823</v>
      </c>
      <c r="F32" s="6">
        <v>5.38</v>
      </c>
      <c r="G32" s="7">
        <v>9807.94</v>
      </c>
      <c r="H32" s="8">
        <v>16407.65</v>
      </c>
      <c r="I32" s="8">
        <f t="shared" si="8"/>
        <v>9807.74</v>
      </c>
      <c r="J32" s="8">
        <f>E32*9</f>
        <v>16407</v>
      </c>
      <c r="K32" s="9">
        <f t="shared" si="9"/>
        <v>-0.2000000000007276</v>
      </c>
      <c r="L32" s="9">
        <f t="shared" si="9"/>
        <v>-0.6500000000014552</v>
      </c>
      <c r="M32" s="12"/>
      <c r="N32" s="12"/>
      <c r="O32" s="12"/>
      <c r="P32" s="1"/>
      <c r="Q32" s="1"/>
    </row>
    <row r="33" spans="1:17" ht="19.5" customHeight="1" thickBot="1">
      <c r="A33" s="67"/>
      <c r="B33" s="54"/>
      <c r="C33" s="65"/>
      <c r="D33" s="4" t="s">
        <v>20</v>
      </c>
      <c r="E33" s="5">
        <v>1663.6</v>
      </c>
      <c r="F33" s="6">
        <v>5.38</v>
      </c>
      <c r="G33" s="7">
        <v>8950.2</v>
      </c>
      <c r="H33" s="8">
        <v>24953.83</v>
      </c>
      <c r="I33" s="8">
        <f t="shared" si="8"/>
        <v>8950.168</v>
      </c>
      <c r="J33" s="8">
        <f>E33*15</f>
        <v>24954</v>
      </c>
      <c r="K33" s="9">
        <f t="shared" si="9"/>
        <v>-0.03200000000106229</v>
      </c>
      <c r="L33" s="9">
        <f t="shared" si="9"/>
        <v>0.16999999999825377</v>
      </c>
      <c r="M33" s="12"/>
      <c r="N33" s="12"/>
      <c r="O33" s="12"/>
      <c r="P33" s="1"/>
      <c r="Q33" s="1"/>
    </row>
    <row r="34" spans="1:17" ht="17.25" customHeight="1" thickBot="1">
      <c r="A34" s="67"/>
      <c r="B34" s="54"/>
      <c r="C34" s="65"/>
      <c r="D34" s="4" t="s">
        <v>22</v>
      </c>
      <c r="E34" s="5">
        <f>SUM('[1]Смолян'!$E$150)</f>
        <v>1753.827</v>
      </c>
      <c r="F34" s="6">
        <v>5.38</v>
      </c>
      <c r="G34" s="7">
        <v>9435.56</v>
      </c>
      <c r="H34" s="8">
        <v>38584.19</v>
      </c>
      <c r="I34" s="8">
        <f t="shared" si="8"/>
        <v>9435.58926</v>
      </c>
      <c r="J34" s="8">
        <f>E34*22</f>
        <v>38584.194</v>
      </c>
      <c r="K34" s="9">
        <f t="shared" si="9"/>
        <v>0.029260000001158915</v>
      </c>
      <c r="L34" s="9">
        <f t="shared" si="9"/>
        <v>0.004000000000814907</v>
      </c>
      <c r="M34" s="12"/>
      <c r="N34" s="12"/>
      <c r="O34" s="12"/>
      <c r="P34" s="1"/>
      <c r="Q34" s="1"/>
    </row>
    <row r="35" spans="1:17" ht="21" customHeight="1" thickBot="1">
      <c r="A35" s="67"/>
      <c r="B35" s="54"/>
      <c r="C35" s="65"/>
      <c r="D35" s="4" t="s">
        <v>25</v>
      </c>
      <c r="E35" s="5">
        <v>1721.288</v>
      </c>
      <c r="F35" s="6">
        <v>5.38</v>
      </c>
      <c r="G35" s="7">
        <v>9260.53</v>
      </c>
      <c r="H35" s="8">
        <v>48196.06</v>
      </c>
      <c r="I35" s="8">
        <f t="shared" si="8"/>
        <v>9260.52944</v>
      </c>
      <c r="J35" s="8">
        <f>E35*28</f>
        <v>48196.064</v>
      </c>
      <c r="K35" s="9">
        <f t="shared" si="9"/>
        <v>-0.0005600000004051253</v>
      </c>
      <c r="L35" s="9">
        <f t="shared" si="9"/>
        <v>0.004000000000814907</v>
      </c>
      <c r="M35" s="12"/>
      <c r="N35" s="12"/>
      <c r="O35" s="12"/>
      <c r="P35" s="1"/>
      <c r="Q35" s="1"/>
    </row>
    <row r="36" spans="1:17" ht="49.5" customHeight="1" thickBot="1">
      <c r="A36" s="67"/>
      <c r="B36" s="54"/>
      <c r="C36" s="65"/>
      <c r="D36" s="4" t="s">
        <v>43</v>
      </c>
      <c r="E36" s="28">
        <v>2010.32</v>
      </c>
      <c r="F36" s="6">
        <v>5.38</v>
      </c>
      <c r="G36" s="8">
        <v>9212.19</v>
      </c>
      <c r="H36" s="8">
        <v>61642.8</v>
      </c>
      <c r="I36" s="8">
        <f t="shared" si="8"/>
        <v>10815.5216</v>
      </c>
      <c r="J36" s="8">
        <f>E36*36</f>
        <v>72371.52</v>
      </c>
      <c r="K36" s="8">
        <f t="shared" si="9"/>
        <v>1603.3315999999995</v>
      </c>
      <c r="L36" s="8">
        <f t="shared" si="9"/>
        <v>10728.720000000001</v>
      </c>
      <c r="M36" s="30"/>
      <c r="N36" s="30"/>
      <c r="O36" s="29" t="s">
        <v>46</v>
      </c>
      <c r="P36" s="1"/>
      <c r="Q36" s="1"/>
    </row>
    <row r="37" spans="1:17" ht="33" customHeight="1" thickBot="1">
      <c r="A37" s="18"/>
      <c r="B37" s="18"/>
      <c r="C37" s="13" t="s">
        <v>38</v>
      </c>
      <c r="D37" s="19" t="s">
        <v>47</v>
      </c>
      <c r="E37" s="15">
        <f>SUM(E31:E36)</f>
        <v>10885.539999999999</v>
      </c>
      <c r="F37" s="15"/>
      <c r="G37" s="15">
        <f>SUM(G31:G36)</f>
        <v>56955.340000000004</v>
      </c>
      <c r="H37" s="15">
        <f>SUM(H31:H36)</f>
        <v>195532.53000000003</v>
      </c>
      <c r="I37" s="15">
        <f aca="true" t="shared" si="10" ref="I37:N37">SUM(I31:I36)</f>
        <v>58558.464685</v>
      </c>
      <c r="J37" s="15">
        <f t="shared" si="10"/>
        <v>206253.293</v>
      </c>
      <c r="K37" s="15">
        <f t="shared" si="10"/>
        <v>1603.1246849999989</v>
      </c>
      <c r="L37" s="15">
        <f t="shared" si="10"/>
        <v>10720.762999999999</v>
      </c>
      <c r="M37" s="15">
        <f t="shared" si="10"/>
        <v>0</v>
      </c>
      <c r="N37" s="15">
        <f t="shared" si="10"/>
        <v>0</v>
      </c>
      <c r="O37" s="15">
        <f>64780.18+12432.1</f>
        <v>77212.28</v>
      </c>
      <c r="P37" s="1"/>
      <c r="Q37" s="1"/>
    </row>
    <row r="38" ht="12.75">
      <c r="Q38" s="1"/>
    </row>
    <row r="39" spans="2:3" ht="12.75">
      <c r="B39" s="20" t="s">
        <v>52</v>
      </c>
      <c r="C39" s="20"/>
    </row>
    <row r="40" spans="2:3" ht="12.75">
      <c r="B40" s="20"/>
      <c r="C40" s="20"/>
    </row>
    <row r="41" spans="2:15" ht="26.25" customHeight="1">
      <c r="B41" s="40" t="s">
        <v>60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8"/>
      <c r="N41" s="38"/>
      <c r="O41" s="38"/>
    </row>
    <row r="42" spans="2:15" ht="12.75">
      <c r="B42" s="41" t="s">
        <v>54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8"/>
      <c r="N42" s="38"/>
      <c r="O42" s="38"/>
    </row>
    <row r="43" spans="2:15" ht="30" customHeight="1">
      <c r="B43" s="40" t="s">
        <v>53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  <c r="N43" s="39"/>
      <c r="O43" s="39"/>
    </row>
    <row r="44" spans="2:15" ht="30" customHeight="1">
      <c r="B44" s="40" t="s">
        <v>56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  <c r="N44" s="39"/>
      <c r="O44" s="39"/>
    </row>
    <row r="45" spans="2:15" ht="30" customHeight="1">
      <c r="B45" s="40" t="s">
        <v>58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  <c r="N45" s="39"/>
      <c r="O45" s="39"/>
    </row>
    <row r="46" spans="2:15" ht="41.25" customHeight="1">
      <c r="B46" s="42" t="s">
        <v>57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9"/>
      <c r="N46" s="39"/>
      <c r="O46" s="39"/>
    </row>
    <row r="47" spans="13:15" ht="27.75" customHeight="1">
      <c r="M47" s="38"/>
      <c r="N47" s="38"/>
      <c r="O47" s="38"/>
    </row>
    <row r="48" spans="13:15" ht="25.5" customHeight="1">
      <c r="M48" s="38"/>
      <c r="N48" s="38"/>
      <c r="O48" s="38"/>
    </row>
  </sheetData>
  <sheetProtection/>
  <mergeCells count="39">
    <mergeCell ref="C31:C36"/>
    <mergeCell ref="A31:A36"/>
    <mergeCell ref="O26:O29"/>
    <mergeCell ref="O17:O19"/>
    <mergeCell ref="A13:A19"/>
    <mergeCell ref="B13:B19"/>
    <mergeCell ref="B31:B36"/>
    <mergeCell ref="A21:A29"/>
    <mergeCell ref="C2:C3"/>
    <mergeCell ref="D2:E2"/>
    <mergeCell ref="J2:J3"/>
    <mergeCell ref="F2:F3"/>
    <mergeCell ref="A1:O1"/>
    <mergeCell ref="O8:O10"/>
    <mergeCell ref="A2:A3"/>
    <mergeCell ref="B2:B3"/>
    <mergeCell ref="B4:B11"/>
    <mergeCell ref="A4:A11"/>
    <mergeCell ref="B21:B29"/>
    <mergeCell ref="O2:O3"/>
    <mergeCell ref="K2:K3"/>
    <mergeCell ref="L2:L3"/>
    <mergeCell ref="M2:M3"/>
    <mergeCell ref="N2:N3"/>
    <mergeCell ref="O14:O16"/>
    <mergeCell ref="O22:O25"/>
    <mergeCell ref="P4:P10"/>
    <mergeCell ref="P13:P19"/>
    <mergeCell ref="P21:P29"/>
    <mergeCell ref="G2:G3"/>
    <mergeCell ref="H2:H3"/>
    <mergeCell ref="I2:I3"/>
    <mergeCell ref="O5:O7"/>
    <mergeCell ref="B41:L41"/>
    <mergeCell ref="B42:L42"/>
    <mergeCell ref="B43:L43"/>
    <mergeCell ref="B46:L46"/>
    <mergeCell ref="B44:L44"/>
    <mergeCell ref="B45:L45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User</cp:lastModifiedBy>
  <cp:lastPrinted>2017-01-11T08:42:11Z</cp:lastPrinted>
  <dcterms:created xsi:type="dcterms:W3CDTF">2014-03-20T13:05:14Z</dcterms:created>
  <dcterms:modified xsi:type="dcterms:W3CDTF">2017-01-11T10:08:23Z</dcterms:modified>
  <cp:category/>
  <cp:version/>
  <cp:contentType/>
  <cp:contentStatus/>
</cp:coreProperties>
</file>